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wg\Documents\"/>
    </mc:Choice>
  </mc:AlternateContent>
  <xr:revisionPtr revIDLastSave="0" documentId="13_ncr:1_{80D78E98-F81C-48F9-B947-9A94D7B204F4}" xr6:coauthVersionLast="47" xr6:coauthVersionMax="47" xr10:uidLastSave="{00000000-0000-0000-0000-000000000000}"/>
  <bookViews>
    <workbookView xWindow="28680" yWindow="-120" windowWidth="29040" windowHeight="15720" xr2:uid="{C1C34D29-C801-467A-9605-FA4A40666495}"/>
  </bookViews>
  <sheets>
    <sheet name="Sheet1" sheetId="1" r:id="rId1"/>
    <sheet name="EF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B60" i="1"/>
  <c r="B58" i="1"/>
  <c r="B57" i="1"/>
  <c r="B56" i="1"/>
  <c r="B55" i="1"/>
  <c r="B54" i="1"/>
  <c r="B53" i="1"/>
  <c r="B52" i="1"/>
  <c r="B51" i="1"/>
  <c r="B50" i="1"/>
  <c r="B49" i="1"/>
  <c r="B48" i="1"/>
  <c r="B47" i="1"/>
  <c r="F46" i="1"/>
  <c r="C37" i="1"/>
  <c r="C28" i="1"/>
  <c r="F19" i="1"/>
  <c r="K15" i="1" s="1"/>
  <c r="E19" i="1"/>
  <c r="J12" i="1" s="1"/>
  <c r="D19" i="1"/>
  <c r="I17" i="1" s="1"/>
  <c r="C19" i="1"/>
  <c r="H11" i="1" s="1"/>
  <c r="K60" i="1" l="1"/>
  <c r="J14" i="1"/>
  <c r="J15" i="1"/>
  <c r="K8" i="1"/>
  <c r="K17" i="1"/>
  <c r="I10" i="1"/>
  <c r="C34" i="1"/>
  <c r="C33" i="1"/>
  <c r="I11" i="1"/>
  <c r="I12" i="1"/>
  <c r="K9" i="1"/>
  <c r="H19" i="1"/>
  <c r="I19" i="1"/>
  <c r="K10" i="1"/>
  <c r="H17" i="1"/>
  <c r="J6" i="1"/>
  <c r="K16" i="1"/>
  <c r="H16" i="1"/>
  <c r="H8" i="1"/>
  <c r="C35" i="1"/>
  <c r="H10" i="1"/>
  <c r="J7" i="1"/>
  <c r="H9" i="1"/>
  <c r="J13" i="1"/>
  <c r="K19" i="1"/>
  <c r="E37" i="1"/>
  <c r="H15" i="1"/>
  <c r="H7" i="1"/>
  <c r="E28" i="1" s="1"/>
  <c r="I13" i="1"/>
  <c r="J8" i="1"/>
  <c r="J16" i="1"/>
  <c r="K11" i="1"/>
  <c r="C32" i="1"/>
  <c r="E32" i="1" s="1"/>
  <c r="H14" i="1"/>
  <c r="I6" i="1"/>
  <c r="I14" i="1"/>
  <c r="J9" i="1"/>
  <c r="J17" i="1"/>
  <c r="K12" i="1"/>
  <c r="C27" i="1"/>
  <c r="C31" i="1"/>
  <c r="E31" i="1" s="1"/>
  <c r="H13" i="1"/>
  <c r="I7" i="1"/>
  <c r="I15" i="1"/>
  <c r="J10" i="1"/>
  <c r="J19" i="1"/>
  <c r="K13" i="1"/>
  <c r="C38" i="1"/>
  <c r="E38" i="1" s="1"/>
  <c r="C30" i="1"/>
  <c r="E30" i="1" s="1"/>
  <c r="H12" i="1"/>
  <c r="I16" i="1"/>
  <c r="J11" i="1"/>
  <c r="K6" i="1"/>
  <c r="K14" i="1"/>
  <c r="C29" i="1"/>
  <c r="I8" i="1"/>
  <c r="H6" i="1"/>
  <c r="I9" i="1"/>
  <c r="K7" i="1"/>
  <c r="C36" i="1"/>
  <c r="E29" i="1" l="1"/>
  <c r="E36" i="1"/>
  <c r="E35" i="1"/>
  <c r="E33" i="1"/>
  <c r="E34" i="1"/>
  <c r="E27" i="1"/>
  <c r="E40" i="1" l="1"/>
  <c r="F36" i="1" s="1"/>
  <c r="F31" i="1" l="1"/>
  <c r="C51" i="1" s="1"/>
  <c r="F30" i="1"/>
  <c r="D50" i="1" s="1"/>
  <c r="I50" i="1" s="1"/>
  <c r="F35" i="1"/>
  <c r="C55" i="1" s="1"/>
  <c r="F34" i="1"/>
  <c r="C54" i="1" s="1"/>
  <c r="F32" i="1"/>
  <c r="C52" i="1" s="1"/>
  <c r="F29" i="1"/>
  <c r="C49" i="1" s="1"/>
  <c r="F27" i="1"/>
  <c r="F28" i="1"/>
  <c r="C48" i="1" s="1"/>
  <c r="F38" i="1"/>
  <c r="D58" i="1" s="1"/>
  <c r="I58" i="1" s="1"/>
  <c r="F33" i="1"/>
  <c r="D53" i="1" s="1"/>
  <c r="I53" i="1" s="1"/>
  <c r="F37" i="1"/>
  <c r="D57" i="1" s="1"/>
  <c r="I57" i="1" s="1"/>
  <c r="C56" i="1"/>
  <c r="D56" i="1"/>
  <c r="I56" i="1" s="1"/>
  <c r="D52" i="1" l="1"/>
  <c r="I52" i="1" s="1"/>
  <c r="D54" i="1"/>
  <c r="I54" i="1" s="1"/>
  <c r="C47" i="1"/>
  <c r="H47" i="1" s="1"/>
  <c r="F40" i="1"/>
  <c r="C53" i="1"/>
  <c r="H53" i="1" s="1"/>
  <c r="L53" i="1" s="1"/>
  <c r="D48" i="1"/>
  <c r="I48" i="1" s="1"/>
  <c r="D47" i="1"/>
  <c r="I47" i="1" s="1"/>
  <c r="D51" i="1"/>
  <c r="I51" i="1" s="1"/>
  <c r="D49" i="1"/>
  <c r="I49" i="1" s="1"/>
  <c r="D55" i="1"/>
  <c r="I55" i="1" s="1"/>
  <c r="C57" i="1"/>
  <c r="C58" i="1"/>
  <c r="H58" i="1" s="1"/>
  <c r="L58" i="1" s="1"/>
  <c r="C50" i="1"/>
  <c r="H50" i="1" s="1"/>
  <c r="L50" i="1" s="1"/>
  <c r="H54" i="1"/>
  <c r="H49" i="1"/>
  <c r="H48" i="1"/>
  <c r="H51" i="1"/>
  <c r="H52" i="1"/>
  <c r="H55" i="1"/>
  <c r="H56" i="1"/>
  <c r="L56" i="1" s="1"/>
  <c r="F56" i="1"/>
  <c r="O56" i="1" s="1"/>
  <c r="F54" i="1" l="1"/>
  <c r="O54" i="1" s="1"/>
  <c r="L54" i="1"/>
  <c r="P54" i="1" s="1"/>
  <c r="F52" i="1"/>
  <c r="O52" i="1" s="1"/>
  <c r="L52" i="1"/>
  <c r="P56" i="1"/>
  <c r="L48" i="1"/>
  <c r="P48" i="1" s="1"/>
  <c r="F53" i="1"/>
  <c r="O53" i="1" s="1"/>
  <c r="P53" i="1" s="1"/>
  <c r="F49" i="1"/>
  <c r="O49" i="1" s="1"/>
  <c r="L49" i="1"/>
  <c r="F48" i="1"/>
  <c r="O48" i="1" s="1"/>
  <c r="C60" i="1"/>
  <c r="L55" i="1"/>
  <c r="L47" i="1"/>
  <c r="L51" i="1"/>
  <c r="P51" i="1" s="1"/>
  <c r="F47" i="1"/>
  <c r="O47" i="1" s="1"/>
  <c r="H57" i="1"/>
  <c r="L57" i="1" s="1"/>
  <c r="F57" i="1"/>
  <c r="O57" i="1" s="1"/>
  <c r="F51" i="1"/>
  <c r="O51" i="1" s="1"/>
  <c r="I60" i="1"/>
  <c r="F55" i="1"/>
  <c r="O55" i="1" s="1"/>
  <c r="D60" i="1"/>
  <c r="F50" i="1"/>
  <c r="O50" i="1" s="1"/>
  <c r="P50" i="1" s="1"/>
  <c r="F58" i="1"/>
  <c r="O58" i="1" s="1"/>
  <c r="P58" i="1" s="1"/>
  <c r="P52" i="1" l="1"/>
  <c r="P57" i="1"/>
  <c r="P47" i="1"/>
  <c r="P55" i="1"/>
  <c r="P49" i="1"/>
  <c r="H60" i="1"/>
  <c r="L60" i="1" s="1"/>
  <c r="O60" i="1"/>
  <c r="F60" i="1"/>
  <c r="P60" i="1" l="1"/>
  <c r="M63" i="1"/>
  <c r="M64" i="1" s="1"/>
  <c r="L61" i="1"/>
  <c r="O61" i="1"/>
</calcChain>
</file>

<file path=xl/sharedStrings.xml><?xml version="1.0" encoding="utf-8"?>
<sst xmlns="http://schemas.openxmlformats.org/spreadsheetml/2006/main" count="55" uniqueCount="37">
  <si>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</si>
  <si>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</si>
  <si>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</si>
  <si>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</si>
  <si>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</si>
  <si>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</si>
  <si>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</si>
  <si>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</si>
  <si>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</si>
  <si>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</si>
  <si>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</si>
  <si>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</si>
  <si>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Oncor</t>
  </si>
  <si>
    <t>Month</t>
  </si>
  <si>
    <t>https://ftp.puc.texas.gov/public/puct-info/industry/electric/rates/LoadProfile/LoadProfile.pdf</t>
  </si>
  <si>
    <t>Total</t>
  </si>
  <si>
    <t>Avg Monthly Usage</t>
  </si>
  <si>
    <t>Usage Month</t>
  </si>
  <si>
    <t>Usage in KwH</t>
  </si>
  <si>
    <t>Day Time</t>
  </si>
  <si>
    <t>Evening</t>
  </si>
  <si>
    <t>Usage Disribution</t>
  </si>
  <si>
    <t>Energy Rates</t>
  </si>
  <si>
    <t>Total kWh</t>
  </si>
  <si>
    <t>Total Energy Charge</t>
  </si>
  <si>
    <t>Effective Energy Rate</t>
  </si>
  <si>
    <t>Savings</t>
  </si>
  <si>
    <t>Base Charge</t>
  </si>
  <si>
    <t>Monthly FCST</t>
  </si>
  <si>
    <t>FCST Annual</t>
  </si>
  <si>
    <t>TDSP</t>
  </si>
  <si>
    <t>Step 1 - Figure out the Usage for the Year.</t>
  </si>
  <si>
    <t>Step 2 - Calculate the Savings</t>
  </si>
  <si>
    <t>Avg Monthly Usage Distribution</t>
  </si>
  <si>
    <t>Savings per Month</t>
  </si>
  <si>
    <t>Comparison Plan</t>
  </si>
  <si>
    <t>Fixed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</si>
</sst>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4" formatCode="#.00\¢"/>
    <numFmt numFmtId="177" formatCode="#.000\¢"/>
    <numFmt numFmtId="178" formatCode="#.0000\¢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44" fontId="0" fillId="0" borderId="0" xfId="0" applyNumberFormat="1"/>
    <xf numFmtId="0" fontId="3" fillId="0" borderId="2" xfId="0" applyFont="1" applyBorder="1"/>
    <xf numFmtId="0" fontId="3" fillId="0" borderId="4" xfId="0" applyFont="1" applyBorder="1"/>
    <xf numFmtId="44" fontId="3" fillId="0" borderId="1" xfId="3" applyNumberFormat="1" applyFont="1" applyBorder="1"/>
    <xf numFmtId="9" fontId="3" fillId="0" borderId="3" xfId="3" applyNumberFormat="1" applyFont="1" applyBorder="1"/>
    <xf numFmtId="0" fontId="3" fillId="0" borderId="0" xfId="0" applyFont="1" applyBorder="1"/>
    <xf numFmtId="9" fontId="3" fillId="0" borderId="0" xfId="3" applyNumberFormat="1" applyFont="1" applyBorder="1"/>
    <xf numFmtId="0" fontId="6" fillId="0" borderId="1" xfId="4" applyBorder="1"/>
    <xf numFmtId="0" fontId="0" fillId="0" borderId="5" xfId="0" applyBorder="1"/>
    <xf numFmtId="0" fontId="0" fillId="0" borderId="2" xfId="0" applyBorder="1"/>
    <xf numFmtId="0" fontId="3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3" fillId="0" borderId="0" xfId="0" applyFont="1" applyBorder="1" applyAlignment="1">
      <alignment horizontal="centerContinuous"/>
    </xf>
    <xf numFmtId="165" fontId="3" fillId="0" borderId="0" xfId="1" applyNumberFormat="1" applyFont="1" applyBorder="1"/>
    <xf numFmtId="165" fontId="0" fillId="0" borderId="0" xfId="1" applyNumberFormat="1" applyFont="1" applyBorder="1"/>
    <xf numFmtId="9" fontId="0" fillId="0" borderId="0" xfId="3" applyNumberFormat="1" applyFont="1" applyBorder="1"/>
    <xf numFmtId="0" fontId="2" fillId="3" borderId="6" xfId="0" applyFont="1" applyFill="1" applyBorder="1"/>
    <xf numFmtId="0" fontId="4" fillId="3" borderId="0" xfId="0" applyFont="1" applyFill="1" applyBorder="1"/>
    <xf numFmtId="0" fontId="4" fillId="3" borderId="7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9" fontId="7" fillId="2" borderId="0" xfId="0" applyNumberFormat="1" applyFont="1" applyFill="1" applyBorder="1"/>
    <xf numFmtId="9" fontId="7" fillId="2" borderId="0" xfId="3" applyNumberFormat="1" applyFont="1" applyFill="1" applyBorder="1"/>
    <xf numFmtId="9" fontId="3" fillId="0" borderId="0" xfId="3" applyFont="1" applyBorder="1"/>
    <xf numFmtId="44" fontId="7" fillId="0" borderId="0" xfId="2" applyFont="1" applyBorder="1"/>
    <xf numFmtId="44" fontId="0" fillId="0" borderId="0" xfId="2" applyFont="1" applyBorder="1"/>
    <xf numFmtId="44" fontId="3" fillId="0" borderId="0" xfId="0" applyNumberFormat="1" applyFont="1" applyBorder="1"/>
    <xf numFmtId="174" fontId="0" fillId="0" borderId="0" xfId="0" applyNumberFormat="1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178" fontId="7" fillId="2" borderId="0" xfId="0" applyNumberFormat="1" applyFont="1" applyFill="1" applyBorder="1"/>
    <xf numFmtId="44" fontId="8" fillId="0" borderId="0" xfId="0" applyNumberFormat="1" applyFont="1" applyBorder="1"/>
    <xf numFmtId="44" fontId="9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78" fontId="7" fillId="2" borderId="12" xfId="0" applyNumberFormat="1" applyFont="1" applyFill="1" applyBorder="1"/>
    <xf numFmtId="0" fontId="0" fillId="0" borderId="13" xfId="0" applyBorder="1"/>
    <xf numFmtId="44" fontId="0" fillId="0" borderId="12" xfId="2" applyFont="1" applyBorder="1"/>
    <xf numFmtId="44" fontId="0" fillId="0" borderId="13" xfId="0" applyNumberFormat="1" applyBorder="1"/>
    <xf numFmtId="0" fontId="0" fillId="0" borderId="12" xfId="0" applyBorder="1"/>
    <xf numFmtId="44" fontId="3" fillId="0" borderId="12" xfId="0" applyNumberFormat="1" applyFont="1" applyBorder="1"/>
    <xf numFmtId="44" fontId="3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77" fontId="7" fillId="2" borderId="18" xfId="0" applyNumberFormat="1" applyFont="1" applyFill="1" applyBorder="1"/>
    <xf numFmtId="44" fontId="0" fillId="0" borderId="18" xfId="2" applyFont="1" applyBorder="1"/>
    <xf numFmtId="0" fontId="0" fillId="0" borderId="18" xfId="0" applyBorder="1"/>
    <xf numFmtId="44" fontId="3" fillId="0" borderId="18" xfId="0" applyNumberFormat="1" applyFont="1" applyBorder="1"/>
    <xf numFmtId="174" fontId="3" fillId="4" borderId="16" xfId="0" applyNumberFormat="1" applyFont="1" applyFill="1" applyBorder="1"/>
    <xf numFmtId="0" fontId="3" fillId="4" borderId="0" xfId="0" applyFont="1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174" fontId="3" fillId="4" borderId="19" xfId="0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12</xdr:col>
      <xdr:colOff>458269</xdr:colOff>
      <xdr:row>42</xdr:row>
      <xdr:rowOff>1117</xdr:rowOff>
    </xdr:to>
    <xdr:pic>
      <xdr:nvPicPr>
        <xdr:cNvPr id="2" name="Picture 1" descr="A screenshot of a website&#10;&#10;Description automatically generated">
          <a:extLst>
            <a:ext uri="{FF2B5EF4-FFF2-40B4-BE49-F238E27FC236}">
              <a16:creationId xmlns:a16="http://schemas.microsoft.com/office/drawing/2014/main" id="{6481EFCE-1F2C-0E52-892C-B864060A0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7659169" cy="8002117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0</xdr:row>
      <xdr:rowOff>819</xdr:rowOff>
    </xdr:from>
    <xdr:to>
      <xdr:col>27</xdr:col>
      <xdr:colOff>430609</xdr:colOff>
      <xdr:row>33</xdr:row>
      <xdr:rowOff>85725</xdr:rowOff>
    </xdr:to>
    <xdr:pic>
      <xdr:nvPicPr>
        <xdr:cNvPr id="3" name="Picture 2" descr="A receipt of electricity&#10;&#10;Description automatically generated with medium confidence">
          <a:extLst>
            <a:ext uri="{FF2B5EF4-FFF2-40B4-BE49-F238E27FC236}">
              <a16:creationId xmlns:a16="http://schemas.microsoft.com/office/drawing/2014/main" id="{549B3E5A-0752-B4D9-E4D9-2B183E7B7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3875" y="819"/>
          <a:ext cx="8745934" cy="6371406"/>
        </a:xfrm>
        <a:prstGeom prst="rect">
          <a:avLst/>
        </a:prstGeom>
      </xdr:spPr>
    </xdr:pic>
    <xdr:clientData/>
  </xdr:twoCellAnchor>
  <xdr:twoCellAnchor editAs="oneCell">
    <xdr:from>
      <xdr:col>13</xdr:col>
      <xdr:colOff>161276</xdr:colOff>
      <xdr:row>33</xdr:row>
      <xdr:rowOff>85724</xdr:rowOff>
    </xdr:from>
    <xdr:to>
      <xdr:col>27</xdr:col>
      <xdr:colOff>366656</xdr:colOff>
      <xdr:row>70</xdr:row>
      <xdr:rowOff>66675</xdr:rowOff>
    </xdr:to>
    <xdr:pic>
      <xdr:nvPicPr>
        <xdr:cNvPr id="4" name="Picture 3" descr="A close-up of a document&#10;&#10;Description automatically generated">
          <a:extLst>
            <a:ext uri="{FF2B5EF4-FFF2-40B4-BE49-F238E27FC236}">
              <a16:creationId xmlns:a16="http://schemas.microsoft.com/office/drawing/2014/main" id="{15A46253-0484-8888-DAB5-EAEF7FED3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86076" y="6372224"/>
          <a:ext cx="8739780" cy="7029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tp.puc.texas.gov/public/puct-info/industry/electric/rates/LoadProfile/LoadProfil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6777-2CC8-4486-BE0B-860EA88DECC5}">
  <dimension ref="B1:U65"/>
  <sheetViews>
    <sheetView showGridLines="0" tabSelected="1" topLeftCell="A34" zoomScale="115" zoomScaleNormal="115" workbookViewId="0">
      <selection activeCell="M63" sqref="M63"/>
    </sheetView>
  </sheetViews>
  <sheetFormatPr defaultRowHeight="15" x14ac:dyDescent="0.25"/>
  <cols>
    <col min="1" max="1" width="3.42578125" customWidth="1"/>
    <col min="2" max="2" width="14.42578125" customWidth="1"/>
    <col min="3" max="3" width="11.85546875" bestFit="1" customWidth="1"/>
    <col min="4" max="4" width="10.5703125" bestFit="1" customWidth="1"/>
    <col min="5" max="5" width="11.85546875" bestFit="1" customWidth="1"/>
    <col min="6" max="6" width="13.28515625" bestFit="1" customWidth="1"/>
    <col min="8" max="8" width="11.28515625" bestFit="1" customWidth="1"/>
    <col min="9" max="9" width="8" bestFit="1" customWidth="1"/>
    <col min="10" max="10" width="7.28515625" bestFit="1" customWidth="1"/>
    <col min="11" max="11" width="11.7109375" bestFit="1" customWidth="1"/>
    <col min="12" max="12" width="18.7109375" bestFit="1" customWidth="1"/>
    <col min="13" max="13" width="11.28515625" bestFit="1" customWidth="1"/>
    <col min="14" max="14" width="9.5703125" bestFit="1" customWidth="1"/>
    <col min="15" max="15" width="16" bestFit="1" customWidth="1"/>
    <col min="16" max="16" width="14.140625" bestFit="1" customWidth="1"/>
    <col min="17" max="17" width="3.42578125" customWidth="1"/>
    <col min="19" max="19" width="2.42578125" customWidth="1"/>
    <col min="20" max="20" width="10.85546875" bestFit="1" customWidth="1"/>
    <col min="21" max="21" width="19.140625" bestFit="1" customWidth="1"/>
    <col min="22" max="22" width="20" bestFit="1" customWidth="1"/>
    <col min="24" max="24" width="14.7109375" bestFit="1" customWidth="1"/>
  </cols>
  <sheetData>
    <row r="1" spans="2:17" ht="15.75" thickBot="1" x14ac:dyDescent="0.3"/>
    <row r="2" spans="2:17" x14ac:dyDescent="0.25">
      <c r="B2" s="8" t="s">
        <v>14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</row>
    <row r="3" spans="2:17" x14ac:dyDescent="0.25">
      <c r="B3" s="11" t="s">
        <v>12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x14ac:dyDescent="0.25">
      <c r="B4" s="14"/>
      <c r="C4" s="15" t="s">
        <v>16</v>
      </c>
      <c r="D4" s="15"/>
      <c r="E4" s="15"/>
      <c r="F4" s="15"/>
      <c r="G4" s="12"/>
      <c r="H4" s="15" t="s">
        <v>33</v>
      </c>
      <c r="I4" s="15"/>
      <c r="J4" s="15"/>
      <c r="K4" s="15"/>
      <c r="L4" s="12"/>
      <c r="M4" s="12"/>
      <c r="N4" s="12"/>
      <c r="O4" s="12"/>
      <c r="P4" s="12"/>
      <c r="Q4" s="13"/>
    </row>
    <row r="5" spans="2:17" x14ac:dyDescent="0.25">
      <c r="B5" s="11" t="s">
        <v>13</v>
      </c>
      <c r="C5" s="16">
        <v>500</v>
      </c>
      <c r="D5" s="16">
        <v>1000</v>
      </c>
      <c r="E5" s="16">
        <v>1500</v>
      </c>
      <c r="F5" s="16">
        <v>2000</v>
      </c>
      <c r="G5" s="12"/>
      <c r="H5" s="16">
        <v>500</v>
      </c>
      <c r="I5" s="16">
        <v>1000</v>
      </c>
      <c r="J5" s="16">
        <v>1500</v>
      </c>
      <c r="K5" s="16">
        <v>2000</v>
      </c>
      <c r="L5" s="12"/>
      <c r="M5" s="12"/>
      <c r="N5" s="12"/>
      <c r="O5" s="12"/>
      <c r="P5" s="12"/>
      <c r="Q5" s="13"/>
    </row>
    <row r="6" spans="2:17" x14ac:dyDescent="0.25">
      <c r="B6" s="14" t="s">
        <v>0</v>
      </c>
      <c r="C6" s="17">
        <v>517</v>
      </c>
      <c r="D6" s="17">
        <v>1033</v>
      </c>
      <c r="E6" s="17">
        <v>1549.95</v>
      </c>
      <c r="F6" s="17">
        <v>2065.8000000000002</v>
      </c>
      <c r="G6" s="12"/>
      <c r="H6" s="18">
        <f>C6/C$19</f>
        <v>8.6166666666666669E-2</v>
      </c>
      <c r="I6" s="18">
        <f>D6/D$19</f>
        <v>8.6083333333333331E-2</v>
      </c>
      <c r="J6" s="18">
        <f>E6/E$19</f>
        <v>8.6106419857336497E-2</v>
      </c>
      <c r="K6" s="18">
        <f>F6/F$19</f>
        <v>8.6076434607243485E-2</v>
      </c>
      <c r="L6" s="12"/>
      <c r="M6" s="12"/>
      <c r="N6" s="12"/>
      <c r="O6" s="12"/>
      <c r="P6" s="12"/>
      <c r="Q6" s="13"/>
    </row>
    <row r="7" spans="2:17" x14ac:dyDescent="0.25">
      <c r="B7" s="14" t="s">
        <v>1</v>
      </c>
      <c r="C7" s="17">
        <v>485</v>
      </c>
      <c r="D7" s="17">
        <v>969</v>
      </c>
      <c r="E7" s="17">
        <v>1453.95</v>
      </c>
      <c r="F7" s="17">
        <v>1938.8</v>
      </c>
      <c r="G7" s="12"/>
      <c r="H7" s="18">
        <f t="shared" ref="H7:K19" si="0">C7/C$19</f>
        <v>8.0833333333333326E-2</v>
      </c>
      <c r="I7" s="18">
        <f t="shared" si="0"/>
        <v>8.0750000000000002E-2</v>
      </c>
      <c r="J7" s="18">
        <f t="shared" si="0"/>
        <v>8.0773205039887996E-2</v>
      </c>
      <c r="K7" s="18">
        <f t="shared" si="0"/>
        <v>8.0784679744662427E-2</v>
      </c>
      <c r="L7" s="12"/>
      <c r="M7" s="12"/>
      <c r="N7" s="12"/>
      <c r="O7" s="12"/>
      <c r="P7" s="12"/>
      <c r="Q7" s="13"/>
    </row>
    <row r="8" spans="2:17" x14ac:dyDescent="0.25">
      <c r="B8" s="14" t="s">
        <v>2</v>
      </c>
      <c r="C8" s="17">
        <v>419</v>
      </c>
      <c r="D8" s="17">
        <v>839</v>
      </c>
      <c r="E8" s="17">
        <v>1257.95</v>
      </c>
      <c r="F8" s="17">
        <v>1677.8</v>
      </c>
      <c r="G8" s="12"/>
      <c r="H8" s="18">
        <f t="shared" si="0"/>
        <v>6.9833333333333331E-2</v>
      </c>
      <c r="I8" s="18">
        <f t="shared" si="0"/>
        <v>6.9916666666666669E-2</v>
      </c>
      <c r="J8" s="18">
        <f t="shared" si="0"/>
        <v>6.988455812093064E-2</v>
      </c>
      <c r="K8" s="18">
        <f t="shared" si="0"/>
        <v>6.9909498491641534E-2</v>
      </c>
      <c r="L8" s="12"/>
      <c r="M8" s="12"/>
      <c r="N8" s="12"/>
      <c r="O8" s="12"/>
      <c r="P8" s="12"/>
      <c r="Q8" s="13"/>
    </row>
    <row r="9" spans="2:17" x14ac:dyDescent="0.25">
      <c r="B9" s="14" t="s">
        <v>3</v>
      </c>
      <c r="C9" s="17">
        <v>364</v>
      </c>
      <c r="D9" s="17">
        <v>728</v>
      </c>
      <c r="E9" s="17">
        <v>1091.95</v>
      </c>
      <c r="F9" s="17">
        <v>1455.8</v>
      </c>
      <c r="G9" s="12"/>
      <c r="H9" s="18">
        <f t="shared" si="0"/>
        <v>6.0666666666666667E-2</v>
      </c>
      <c r="I9" s="18">
        <f t="shared" si="0"/>
        <v>6.0666666666666667E-2</v>
      </c>
      <c r="J9" s="18">
        <f t="shared" si="0"/>
        <v>6.0662540832425942E-2</v>
      </c>
      <c r="K9" s="18">
        <f t="shared" si="0"/>
        <v>6.0659344322405384E-2</v>
      </c>
      <c r="L9" s="12"/>
      <c r="M9" s="12"/>
      <c r="N9" s="12"/>
      <c r="O9" s="12"/>
      <c r="P9" s="12"/>
      <c r="Q9" s="13"/>
    </row>
    <row r="10" spans="2:17" x14ac:dyDescent="0.25">
      <c r="B10" s="14" t="s">
        <v>4</v>
      </c>
      <c r="C10" s="17">
        <v>358</v>
      </c>
      <c r="D10" s="17">
        <v>715</v>
      </c>
      <c r="E10" s="17">
        <v>1072.95</v>
      </c>
      <c r="F10" s="17">
        <v>1430.8</v>
      </c>
      <c r="G10" s="12"/>
      <c r="H10" s="18">
        <f t="shared" si="0"/>
        <v>5.9666666666666666E-2</v>
      </c>
      <c r="I10" s="18">
        <f t="shared" si="0"/>
        <v>5.9583333333333335E-2</v>
      </c>
      <c r="J10" s="18">
        <f t="shared" si="0"/>
        <v>5.9607008733139261E-2</v>
      </c>
      <c r="K10" s="18">
        <f t="shared" si="0"/>
        <v>5.9617660294338251E-2</v>
      </c>
      <c r="L10" s="12"/>
      <c r="M10" s="12"/>
      <c r="N10" s="12"/>
      <c r="O10" s="12"/>
      <c r="P10" s="12"/>
      <c r="Q10" s="13"/>
    </row>
    <row r="11" spans="2:17" x14ac:dyDescent="0.25">
      <c r="B11" s="14" t="s">
        <v>5</v>
      </c>
      <c r="C11" s="17">
        <v>497</v>
      </c>
      <c r="D11" s="17">
        <v>994</v>
      </c>
      <c r="E11" s="17">
        <v>1490.95</v>
      </c>
      <c r="F11" s="17">
        <v>1987.8</v>
      </c>
      <c r="G11" s="12"/>
      <c r="H11" s="18">
        <f t="shared" si="0"/>
        <v>8.2833333333333328E-2</v>
      </c>
      <c r="I11" s="18">
        <f t="shared" si="0"/>
        <v>8.2833333333333328E-2</v>
      </c>
      <c r="J11" s="18">
        <f t="shared" si="0"/>
        <v>8.2828714917446269E-2</v>
      </c>
      <c r="K11" s="18">
        <f t="shared" si="0"/>
        <v>8.2826380439674011E-2</v>
      </c>
      <c r="L11" s="12"/>
      <c r="M11" s="12"/>
      <c r="N11" s="12"/>
      <c r="O11" s="12"/>
      <c r="P11" s="12"/>
      <c r="Q11" s="13"/>
    </row>
    <row r="12" spans="2:17" x14ac:dyDescent="0.25">
      <c r="B12" s="14" t="s">
        <v>6</v>
      </c>
      <c r="C12" s="17">
        <v>668</v>
      </c>
      <c r="D12" s="17">
        <v>1335</v>
      </c>
      <c r="E12" s="17">
        <v>2002.95</v>
      </c>
      <c r="F12" s="17">
        <v>2670.8</v>
      </c>
      <c r="G12" s="12"/>
      <c r="H12" s="18">
        <f t="shared" si="0"/>
        <v>0.11133333333333334</v>
      </c>
      <c r="I12" s="18">
        <f t="shared" si="0"/>
        <v>0.11125</v>
      </c>
      <c r="J12" s="18">
        <f t="shared" si="0"/>
        <v>0.11127252727717162</v>
      </c>
      <c r="K12" s="18">
        <f t="shared" si="0"/>
        <v>0.11128518808646815</v>
      </c>
      <c r="L12" s="12"/>
      <c r="M12" s="12"/>
      <c r="N12" s="12"/>
      <c r="O12" s="12"/>
      <c r="P12" s="12"/>
      <c r="Q12" s="13"/>
    </row>
    <row r="13" spans="2:17" x14ac:dyDescent="0.25">
      <c r="B13" s="14" t="s">
        <v>7</v>
      </c>
      <c r="C13" s="17">
        <v>707</v>
      </c>
      <c r="D13" s="17">
        <v>1415</v>
      </c>
      <c r="E13" s="17">
        <v>2121.9499999999998</v>
      </c>
      <c r="F13" s="17">
        <v>2828.8</v>
      </c>
      <c r="G13" s="12"/>
      <c r="H13" s="18">
        <f t="shared" si="0"/>
        <v>0.11783333333333333</v>
      </c>
      <c r="I13" s="18">
        <f t="shared" si="0"/>
        <v>0.11791666666666667</v>
      </c>
      <c r="J13" s="18">
        <f t="shared" si="0"/>
        <v>0.11788349147796713</v>
      </c>
      <c r="K13" s="18">
        <f t="shared" si="0"/>
        <v>0.11786863114385243</v>
      </c>
      <c r="L13" s="12"/>
      <c r="M13" s="12"/>
      <c r="N13" s="12"/>
      <c r="O13" s="12"/>
      <c r="P13" s="12"/>
      <c r="Q13" s="13"/>
    </row>
    <row r="14" spans="2:17" x14ac:dyDescent="0.25">
      <c r="B14" s="14" t="s">
        <v>8</v>
      </c>
      <c r="C14" s="17">
        <v>676</v>
      </c>
      <c r="D14" s="17">
        <v>1352</v>
      </c>
      <c r="E14" s="17">
        <v>2028.95</v>
      </c>
      <c r="F14" s="17">
        <v>2704.8</v>
      </c>
      <c r="G14" s="12"/>
      <c r="H14" s="18">
        <f t="shared" si="0"/>
        <v>0.11266666666666666</v>
      </c>
      <c r="I14" s="18">
        <f t="shared" si="0"/>
        <v>0.11266666666666666</v>
      </c>
      <c r="J14" s="18">
        <f t="shared" si="0"/>
        <v>0.11271693962356391</v>
      </c>
      <c r="K14" s="18">
        <f t="shared" si="0"/>
        <v>0.11270187836463945</v>
      </c>
      <c r="L14" s="12"/>
      <c r="M14" s="12"/>
      <c r="N14" s="12"/>
      <c r="O14" s="12"/>
      <c r="P14" s="12"/>
      <c r="Q14" s="13"/>
    </row>
    <row r="15" spans="2:17" x14ac:dyDescent="0.25">
      <c r="B15" s="14" t="s">
        <v>9</v>
      </c>
      <c r="C15" s="17">
        <v>528</v>
      </c>
      <c r="D15" s="17">
        <v>1057</v>
      </c>
      <c r="E15" s="17">
        <v>1584.95</v>
      </c>
      <c r="F15" s="17">
        <v>2113.8000000000002</v>
      </c>
      <c r="G15" s="12"/>
      <c r="H15" s="18">
        <f t="shared" si="0"/>
        <v>8.7999999999999995E-2</v>
      </c>
      <c r="I15" s="18">
        <f t="shared" si="0"/>
        <v>8.8083333333333333E-2</v>
      </c>
      <c r="J15" s="18">
        <f t="shared" si="0"/>
        <v>8.8050821092864592E-2</v>
      </c>
      <c r="K15" s="18">
        <f t="shared" si="0"/>
        <v>8.8076467941132372E-2</v>
      </c>
      <c r="L15" s="12"/>
      <c r="M15" s="12"/>
      <c r="N15" s="12"/>
      <c r="O15" s="12"/>
      <c r="P15" s="12"/>
      <c r="Q15" s="13"/>
    </row>
    <row r="16" spans="2:17" x14ac:dyDescent="0.25">
      <c r="B16" s="14" t="s">
        <v>10</v>
      </c>
      <c r="C16" s="17">
        <v>378</v>
      </c>
      <c r="D16" s="17">
        <v>756</v>
      </c>
      <c r="E16" s="17">
        <v>1133.95</v>
      </c>
      <c r="F16" s="17">
        <v>1511.8</v>
      </c>
      <c r="G16" s="12"/>
      <c r="H16" s="18">
        <f t="shared" si="0"/>
        <v>6.3E-2</v>
      </c>
      <c r="I16" s="18">
        <f t="shared" si="0"/>
        <v>6.3E-2</v>
      </c>
      <c r="J16" s="18">
        <f t="shared" si="0"/>
        <v>6.2995822315059666E-2</v>
      </c>
      <c r="K16" s="18">
        <f t="shared" si="0"/>
        <v>6.2992716545275759E-2</v>
      </c>
      <c r="L16" s="12"/>
      <c r="M16" s="18"/>
      <c r="N16" s="18"/>
      <c r="O16" s="18"/>
      <c r="P16" s="12"/>
      <c r="Q16" s="13"/>
    </row>
    <row r="17" spans="2:17" x14ac:dyDescent="0.25">
      <c r="B17" s="14" t="s">
        <v>11</v>
      </c>
      <c r="C17" s="17">
        <v>403</v>
      </c>
      <c r="D17" s="17">
        <v>807</v>
      </c>
      <c r="E17" s="17">
        <v>1209.95</v>
      </c>
      <c r="F17" s="17">
        <v>1612.8</v>
      </c>
      <c r="G17" s="12"/>
      <c r="H17" s="18">
        <f t="shared" si="0"/>
        <v>6.7166666666666666E-2</v>
      </c>
      <c r="I17" s="18">
        <f t="shared" si="0"/>
        <v>6.7250000000000004E-2</v>
      </c>
      <c r="J17" s="18">
        <f t="shared" si="0"/>
        <v>6.721795071220639E-2</v>
      </c>
      <c r="K17" s="18">
        <f t="shared" si="0"/>
        <v>6.7201120018666988E-2</v>
      </c>
      <c r="L17" s="12"/>
      <c r="M17" s="12"/>
      <c r="N17" s="12"/>
      <c r="O17" s="12"/>
      <c r="P17" s="12"/>
      <c r="Q17" s="13"/>
    </row>
    <row r="18" spans="2:17" ht="6" customHeight="1" x14ac:dyDescent="0.25">
      <c r="B18" s="14"/>
      <c r="C18" s="17"/>
      <c r="D18" s="17"/>
      <c r="E18" s="17"/>
      <c r="F18" s="17"/>
      <c r="G18" s="12"/>
      <c r="H18" s="18"/>
      <c r="I18" s="18"/>
      <c r="J18" s="18"/>
      <c r="K18" s="18"/>
      <c r="L18" s="12"/>
      <c r="M18" s="12"/>
      <c r="N18" s="12"/>
      <c r="O18" s="12"/>
      <c r="P18" s="12"/>
      <c r="Q18" s="13"/>
    </row>
    <row r="19" spans="2:17" x14ac:dyDescent="0.25">
      <c r="B19" s="11" t="s">
        <v>15</v>
      </c>
      <c r="C19" s="16">
        <f>SUM(C6:C17)</f>
        <v>6000</v>
      </c>
      <c r="D19" s="16">
        <f>SUM(D6:D17)</f>
        <v>12000</v>
      </c>
      <c r="E19" s="16">
        <f>SUM(E6:E17)</f>
        <v>18000.400000000001</v>
      </c>
      <c r="F19" s="16">
        <f>SUM(F6:F17)</f>
        <v>23999.599999999995</v>
      </c>
      <c r="G19" s="12"/>
      <c r="H19" s="7">
        <f t="shared" si="0"/>
        <v>1</v>
      </c>
      <c r="I19" s="7">
        <f t="shared" si="0"/>
        <v>1</v>
      </c>
      <c r="J19" s="7">
        <f t="shared" si="0"/>
        <v>1</v>
      </c>
      <c r="K19" s="7">
        <f t="shared" si="0"/>
        <v>1</v>
      </c>
      <c r="L19" s="12"/>
      <c r="M19" s="12"/>
      <c r="N19" s="12"/>
      <c r="O19" s="12"/>
      <c r="P19" s="12"/>
      <c r="Q19" s="13"/>
    </row>
    <row r="20" spans="2:17" x14ac:dyDescent="0.25">
      <c r="B20" s="1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</row>
    <row r="21" spans="2:17" x14ac:dyDescent="0.25">
      <c r="B21" s="19" t="s">
        <v>31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2:17" x14ac:dyDescent="0.25">
      <c r="B22" s="1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</row>
    <row r="23" spans="2:17" x14ac:dyDescent="0.25">
      <c r="B23" s="11" t="s">
        <v>30</v>
      </c>
      <c r="C23" s="22" t="s">
        <v>12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</row>
    <row r="24" spans="2:17" x14ac:dyDescent="0.25">
      <c r="B24" s="11" t="s">
        <v>17</v>
      </c>
      <c r="C24" s="22" t="s">
        <v>10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</row>
    <row r="25" spans="2:17" x14ac:dyDescent="0.25">
      <c r="B25" s="11" t="s">
        <v>18</v>
      </c>
      <c r="C25" s="22">
        <f>1020.37729+661.62271</f>
        <v>1682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 x14ac:dyDescent="0.25">
      <c r="B26" s="14"/>
      <c r="C26" s="17"/>
      <c r="D26" s="12"/>
      <c r="E26" s="6" t="s">
        <v>29</v>
      </c>
      <c r="F26" s="6" t="s">
        <v>28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</row>
    <row r="27" spans="2:17" x14ac:dyDescent="0.25">
      <c r="B27" s="14" t="s">
        <v>0</v>
      </c>
      <c r="C27" s="17">
        <f>IFERROR(IF(_xlfn.XMATCH(B27,$C$24:$C$25,0,1)=1,$C$25,0),0)</f>
        <v>0</v>
      </c>
      <c r="D27" s="12"/>
      <c r="E27" s="17">
        <f>C27/((H6*100)/100)</f>
        <v>0</v>
      </c>
      <c r="F27" s="17">
        <f>$E$40*H6</f>
        <v>2300.5132275132278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</row>
    <row r="28" spans="2:17" x14ac:dyDescent="0.25">
      <c r="B28" s="14" t="s">
        <v>1</v>
      </c>
      <c r="C28" s="17">
        <f t="shared" ref="C28:C38" si="1">IFERROR(IF(_xlfn.XMATCH(B28,$C$24:$C$25,0,1)=1,$C$25,0),0)</f>
        <v>0</v>
      </c>
      <c r="D28" s="12"/>
      <c r="E28" s="17">
        <f>C28/((H7*100)/100)</f>
        <v>0</v>
      </c>
      <c r="F28" s="17">
        <f>$E$40*H7</f>
        <v>2158.1216931216932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  <row r="29" spans="2:17" x14ac:dyDescent="0.25">
      <c r="B29" s="14" t="s">
        <v>2</v>
      </c>
      <c r="C29" s="17">
        <f t="shared" si="1"/>
        <v>0</v>
      </c>
      <c r="D29" s="12"/>
      <c r="E29" s="17">
        <f>C29/((H8*100)/100)</f>
        <v>0</v>
      </c>
      <c r="F29" s="17">
        <f>$E$40*H8</f>
        <v>1864.4391534391534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</row>
    <row r="30" spans="2:17" x14ac:dyDescent="0.25">
      <c r="B30" s="14" t="s">
        <v>3</v>
      </c>
      <c r="C30" s="17">
        <f t="shared" si="1"/>
        <v>0</v>
      </c>
      <c r="D30" s="12"/>
      <c r="E30" s="17">
        <f>C30/((H9*100)/100)</f>
        <v>0</v>
      </c>
      <c r="F30" s="17">
        <f>$E$40*H9</f>
        <v>1619.7037037037037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</row>
    <row r="31" spans="2:17" x14ac:dyDescent="0.25">
      <c r="B31" s="14" t="s">
        <v>4</v>
      </c>
      <c r="C31" s="17">
        <f t="shared" si="1"/>
        <v>0</v>
      </c>
      <c r="D31" s="12"/>
      <c r="E31" s="17">
        <f>C31/((H10*100)/100)</f>
        <v>0</v>
      </c>
      <c r="F31" s="17">
        <f>$E$40*H10</f>
        <v>1593.0052910052912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</row>
    <row r="32" spans="2:17" x14ac:dyDescent="0.25">
      <c r="B32" s="14" t="s">
        <v>5</v>
      </c>
      <c r="C32" s="17">
        <f t="shared" si="1"/>
        <v>0</v>
      </c>
      <c r="D32" s="12"/>
      <c r="E32" s="17">
        <f>C32/((H11*100)/100)</f>
        <v>0</v>
      </c>
      <c r="F32" s="17">
        <f>$E$40*H11</f>
        <v>2211.5185185185187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</row>
    <row r="33" spans="2:21" x14ac:dyDescent="0.25">
      <c r="B33" s="14" t="s">
        <v>6</v>
      </c>
      <c r="C33" s="17">
        <f t="shared" si="1"/>
        <v>0</v>
      </c>
      <c r="D33" s="12"/>
      <c r="E33" s="17">
        <f>C33/((H12*100)/100)</f>
        <v>0</v>
      </c>
      <c r="F33" s="17">
        <f>$E$40*H12</f>
        <v>2972.4232804232806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</row>
    <row r="34" spans="2:21" x14ac:dyDescent="0.25">
      <c r="B34" s="14" t="s">
        <v>7</v>
      </c>
      <c r="C34" s="17">
        <f t="shared" si="1"/>
        <v>0</v>
      </c>
      <c r="D34" s="12"/>
      <c r="E34" s="17">
        <f>C34/((H13*100)/100)</f>
        <v>0</v>
      </c>
      <c r="F34" s="17">
        <f>$E$40*H13</f>
        <v>3145.962962962963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2:21" x14ac:dyDescent="0.25">
      <c r="B35" s="14" t="s">
        <v>8</v>
      </c>
      <c r="C35" s="17">
        <f t="shared" si="1"/>
        <v>0</v>
      </c>
      <c r="D35" s="12"/>
      <c r="E35" s="17">
        <f>C35/((H14*100)/100)</f>
        <v>0</v>
      </c>
      <c r="F35" s="17">
        <f>$E$40*H14</f>
        <v>3008.0211640211642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21" x14ac:dyDescent="0.25">
      <c r="B36" s="14" t="s">
        <v>9</v>
      </c>
      <c r="C36" s="17">
        <f t="shared" si="1"/>
        <v>0</v>
      </c>
      <c r="D36" s="12"/>
      <c r="E36" s="17">
        <f>C36/((H15*100)/100)</f>
        <v>0</v>
      </c>
      <c r="F36" s="17">
        <f>$E$40*H15</f>
        <v>2349.4603174603176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21" x14ac:dyDescent="0.25">
      <c r="B37" s="14" t="s">
        <v>10</v>
      </c>
      <c r="C37" s="17">
        <f t="shared" si="1"/>
        <v>1682</v>
      </c>
      <c r="D37" s="12"/>
      <c r="E37" s="17">
        <f>C37/((H16*100)/100)</f>
        <v>26698.4126984127</v>
      </c>
      <c r="F37" s="17">
        <f>$E$40*H16</f>
        <v>1682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21" x14ac:dyDescent="0.25">
      <c r="B38" s="14" t="s">
        <v>11</v>
      </c>
      <c r="C38" s="17">
        <f t="shared" si="1"/>
        <v>0</v>
      </c>
      <c r="D38" s="12"/>
      <c r="E38" s="17">
        <f>C38/((H17*100)/100)</f>
        <v>0</v>
      </c>
      <c r="F38" s="17">
        <f>$E$40*H17</f>
        <v>1793.2433862433863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21" ht="6" customHeight="1" x14ac:dyDescent="0.25">
      <c r="B39" s="14"/>
      <c r="C39" s="12"/>
      <c r="D39" s="12"/>
      <c r="E39" s="17"/>
      <c r="F39" s="1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21" x14ac:dyDescent="0.25">
      <c r="B40" s="11" t="s">
        <v>15</v>
      </c>
      <c r="C40" s="12"/>
      <c r="D40" s="12"/>
      <c r="E40" s="16">
        <f>SUM(E27:E39)</f>
        <v>26698.4126984127</v>
      </c>
      <c r="F40" s="16">
        <f>SUM(F27:F39)</f>
        <v>26698.4126984127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21" x14ac:dyDescent="0.2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21" x14ac:dyDescent="0.25">
      <c r="B42" s="19" t="s">
        <v>32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</row>
    <row r="43" spans="2:21" x14ac:dyDescent="0.25"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21" x14ac:dyDescent="0.25">
      <c r="B44" s="14"/>
      <c r="C44" s="15" t="s">
        <v>21</v>
      </c>
      <c r="D44" s="15"/>
      <c r="E44" s="23"/>
      <c r="F44" s="23"/>
      <c r="G44" s="12"/>
      <c r="H44" s="38" t="s">
        <v>22</v>
      </c>
      <c r="I44" s="39"/>
      <c r="J44" s="40"/>
      <c r="K44" s="40"/>
      <c r="L44" s="41"/>
      <c r="M44" s="12"/>
      <c r="N44" s="12"/>
      <c r="O44" s="53" t="s">
        <v>35</v>
      </c>
      <c r="P44" s="12"/>
      <c r="Q44" s="13"/>
    </row>
    <row r="45" spans="2:21" x14ac:dyDescent="0.25">
      <c r="B45" s="14"/>
      <c r="C45" s="24" t="s">
        <v>19</v>
      </c>
      <c r="D45" s="24" t="s">
        <v>20</v>
      </c>
      <c r="E45" s="24"/>
      <c r="F45" s="24" t="s">
        <v>23</v>
      </c>
      <c r="G45" s="12"/>
      <c r="H45" s="42" t="s">
        <v>19</v>
      </c>
      <c r="I45" s="24" t="s">
        <v>20</v>
      </c>
      <c r="J45" s="12"/>
      <c r="K45" s="24" t="s">
        <v>27</v>
      </c>
      <c r="L45" s="43" t="s">
        <v>24</v>
      </c>
      <c r="M45" s="12"/>
      <c r="N45" s="12"/>
      <c r="O45" s="54" t="s">
        <v>36</v>
      </c>
      <c r="P45" s="37" t="s">
        <v>34</v>
      </c>
      <c r="Q45" s="13"/>
    </row>
    <row r="46" spans="2:21" x14ac:dyDescent="0.25">
      <c r="B46" s="14"/>
      <c r="C46" s="25">
        <v>0.58000000000000007</v>
      </c>
      <c r="D46" s="26">
        <v>0.42</v>
      </c>
      <c r="E46" s="17"/>
      <c r="F46" s="27">
        <f>SUM(C46:D46)</f>
        <v>1</v>
      </c>
      <c r="G46" s="12"/>
      <c r="H46" s="44">
        <v>25</v>
      </c>
      <c r="I46" s="35">
        <v>0</v>
      </c>
      <c r="J46" s="12"/>
      <c r="K46" s="28">
        <v>0</v>
      </c>
      <c r="L46" s="45"/>
      <c r="M46" s="12"/>
      <c r="N46" s="12"/>
      <c r="O46" s="55">
        <v>10</v>
      </c>
      <c r="P46" s="12"/>
      <c r="Q46" s="13"/>
    </row>
    <row r="47" spans="2:21" x14ac:dyDescent="0.25">
      <c r="B47" s="14" t="str">
        <f>B27</f>
        <v>January</v>
      </c>
      <c r="C47" s="17">
        <f>F27*C$46</f>
        <v>1334.2976719576723</v>
      </c>
      <c r="D47" s="17">
        <f>F27*D$46</f>
        <v>966.21555555555562</v>
      </c>
      <c r="E47" s="17"/>
      <c r="F47" s="16">
        <f>SUM(C47:D47)</f>
        <v>2300.5132275132278</v>
      </c>
      <c r="G47" s="12"/>
      <c r="H47" s="46">
        <f>($H$46/100)*C47</f>
        <v>333.57441798941807</v>
      </c>
      <c r="I47" s="29">
        <f>D47*$I$46</f>
        <v>0</v>
      </c>
      <c r="J47" s="12"/>
      <c r="K47" s="29">
        <f>K46</f>
        <v>0</v>
      </c>
      <c r="L47" s="47">
        <f t="shared" ref="L47:L57" si="2">SUM(H47:K47)</f>
        <v>333.57441798941807</v>
      </c>
      <c r="M47" s="12"/>
      <c r="N47" s="12"/>
      <c r="O47" s="56">
        <f>F47*($O$46/100)</f>
        <v>230.0513227513228</v>
      </c>
      <c r="P47" s="36">
        <f>L47-O47</f>
        <v>103.52309523809527</v>
      </c>
      <c r="Q47" s="13"/>
      <c r="U47" s="1"/>
    </row>
    <row r="48" spans="2:21" x14ac:dyDescent="0.25">
      <c r="B48" s="14" t="str">
        <f>B28</f>
        <v>February</v>
      </c>
      <c r="C48" s="17">
        <f>F28*C$46</f>
        <v>1251.7105820105821</v>
      </c>
      <c r="D48" s="17">
        <f>F28*D$46</f>
        <v>906.41111111111115</v>
      </c>
      <c r="E48" s="17"/>
      <c r="F48" s="16">
        <f t="shared" ref="F48:F58" si="3">SUM(C48:D48)</f>
        <v>2158.1216931216932</v>
      </c>
      <c r="G48" s="12"/>
      <c r="H48" s="46">
        <f>($H$46/100)*C48</f>
        <v>312.92764550264553</v>
      </c>
      <c r="I48" s="29">
        <f>D48*$I$46</f>
        <v>0</v>
      </c>
      <c r="J48" s="12"/>
      <c r="K48" s="29">
        <f>K47</f>
        <v>0</v>
      </c>
      <c r="L48" s="47">
        <f t="shared" si="2"/>
        <v>312.92764550264553</v>
      </c>
      <c r="M48" s="12"/>
      <c r="N48" s="12"/>
      <c r="O48" s="56">
        <f>F48*($O$46/100)</f>
        <v>215.81216931216932</v>
      </c>
      <c r="P48" s="36">
        <f>L48-O48</f>
        <v>97.115476190476215</v>
      </c>
      <c r="Q48" s="13"/>
    </row>
    <row r="49" spans="2:17" x14ac:dyDescent="0.25">
      <c r="B49" s="14" t="str">
        <f>B29</f>
        <v>March</v>
      </c>
      <c r="C49" s="17">
        <f>F29*C$46</f>
        <v>1081.3747089947092</v>
      </c>
      <c r="D49" s="17">
        <f>F29*D$46</f>
        <v>783.06444444444446</v>
      </c>
      <c r="E49" s="17"/>
      <c r="F49" s="16">
        <f t="shared" si="3"/>
        <v>1864.4391534391536</v>
      </c>
      <c r="G49" s="12"/>
      <c r="H49" s="46">
        <f>($H$46/100)*C49</f>
        <v>270.3436772486773</v>
      </c>
      <c r="I49" s="29">
        <f>D49*$I$46</f>
        <v>0</v>
      </c>
      <c r="J49" s="12"/>
      <c r="K49" s="29">
        <f t="shared" ref="K49:K58" si="4">K48</f>
        <v>0</v>
      </c>
      <c r="L49" s="47">
        <f t="shared" si="2"/>
        <v>270.3436772486773</v>
      </c>
      <c r="M49" s="12"/>
      <c r="N49" s="12"/>
      <c r="O49" s="56">
        <f>F49*($O$46/100)</f>
        <v>186.44391534391536</v>
      </c>
      <c r="P49" s="36">
        <f>L49-O49</f>
        <v>83.899761904761931</v>
      </c>
      <c r="Q49" s="13"/>
    </row>
    <row r="50" spans="2:17" x14ac:dyDescent="0.25">
      <c r="B50" s="14" t="str">
        <f>B30</f>
        <v>April</v>
      </c>
      <c r="C50" s="17">
        <f>F30*C$46</f>
        <v>939.42814814814824</v>
      </c>
      <c r="D50" s="17">
        <f>F30*D$46</f>
        <v>680.27555555555557</v>
      </c>
      <c r="E50" s="17"/>
      <c r="F50" s="16">
        <f t="shared" si="3"/>
        <v>1619.7037037037039</v>
      </c>
      <c r="G50" s="12"/>
      <c r="H50" s="46">
        <f>($H$46/100)*C50</f>
        <v>234.85703703703706</v>
      </c>
      <c r="I50" s="29">
        <f>D50*$I$46</f>
        <v>0</v>
      </c>
      <c r="J50" s="12"/>
      <c r="K50" s="29">
        <f t="shared" si="4"/>
        <v>0</v>
      </c>
      <c r="L50" s="47">
        <f t="shared" si="2"/>
        <v>234.85703703703706</v>
      </c>
      <c r="M50" s="12"/>
      <c r="N50" s="12"/>
      <c r="O50" s="56">
        <f>F50*($O$46/100)</f>
        <v>161.9703703703704</v>
      </c>
      <c r="P50" s="36">
        <f>L50-O50</f>
        <v>72.886666666666656</v>
      </c>
      <c r="Q50" s="13"/>
    </row>
    <row r="51" spans="2:17" x14ac:dyDescent="0.25">
      <c r="B51" s="14" t="str">
        <f>B31</f>
        <v>May</v>
      </c>
      <c r="C51" s="17">
        <f>F31*C$46</f>
        <v>923.94306878306895</v>
      </c>
      <c r="D51" s="17">
        <f>F31*D$46</f>
        <v>669.06222222222232</v>
      </c>
      <c r="E51" s="17"/>
      <c r="F51" s="16">
        <f t="shared" si="3"/>
        <v>1593.0052910052914</v>
      </c>
      <c r="G51" s="12"/>
      <c r="H51" s="46">
        <f>($H$46/100)*C51</f>
        <v>230.98576719576724</v>
      </c>
      <c r="I51" s="29">
        <f>D51*$I$46</f>
        <v>0</v>
      </c>
      <c r="J51" s="12"/>
      <c r="K51" s="29">
        <f t="shared" si="4"/>
        <v>0</v>
      </c>
      <c r="L51" s="47">
        <f t="shared" si="2"/>
        <v>230.98576719576724</v>
      </c>
      <c r="M51" s="12"/>
      <c r="N51" s="12"/>
      <c r="O51" s="56">
        <f>F51*($O$46/100)</f>
        <v>159.30052910052916</v>
      </c>
      <c r="P51" s="36">
        <f>L51-O51</f>
        <v>71.685238095238077</v>
      </c>
      <c r="Q51" s="13"/>
    </row>
    <row r="52" spans="2:17" x14ac:dyDescent="0.25">
      <c r="B52" s="14" t="str">
        <f>B32</f>
        <v>June</v>
      </c>
      <c r="C52" s="17">
        <f>F32*C$46</f>
        <v>1282.6807407407409</v>
      </c>
      <c r="D52" s="17">
        <f>F32*D$46</f>
        <v>928.83777777777777</v>
      </c>
      <c r="E52" s="17"/>
      <c r="F52" s="16">
        <f t="shared" si="3"/>
        <v>2211.5185185185187</v>
      </c>
      <c r="G52" s="12"/>
      <c r="H52" s="46">
        <f>($H$46/100)*C52</f>
        <v>320.67018518518523</v>
      </c>
      <c r="I52" s="29">
        <f>D52*$I$46</f>
        <v>0</v>
      </c>
      <c r="J52" s="12"/>
      <c r="K52" s="29">
        <f t="shared" si="4"/>
        <v>0</v>
      </c>
      <c r="L52" s="47">
        <f t="shared" si="2"/>
        <v>320.67018518518523</v>
      </c>
      <c r="M52" s="12"/>
      <c r="N52" s="12"/>
      <c r="O52" s="56">
        <f>F52*($O$46/100)</f>
        <v>221.15185185185189</v>
      </c>
      <c r="P52" s="36">
        <f>L52-O52</f>
        <v>99.518333333333345</v>
      </c>
      <c r="Q52" s="13"/>
    </row>
    <row r="53" spans="2:17" x14ac:dyDescent="0.25">
      <c r="B53" s="14" t="str">
        <f>B33</f>
        <v>July</v>
      </c>
      <c r="C53" s="17">
        <f>F33*C$46</f>
        <v>1724.0055026455029</v>
      </c>
      <c r="D53" s="17">
        <f>F33*D$46</f>
        <v>1248.4177777777779</v>
      </c>
      <c r="E53" s="17"/>
      <c r="F53" s="16">
        <f t="shared" si="3"/>
        <v>2972.4232804232806</v>
      </c>
      <c r="G53" s="12"/>
      <c r="H53" s="46">
        <f>($H$46/100)*C53</f>
        <v>431.00137566137573</v>
      </c>
      <c r="I53" s="29">
        <f>D53*$I$46</f>
        <v>0</v>
      </c>
      <c r="J53" s="12"/>
      <c r="K53" s="29">
        <f t="shared" si="4"/>
        <v>0</v>
      </c>
      <c r="L53" s="47">
        <f t="shared" si="2"/>
        <v>431.00137566137573</v>
      </c>
      <c r="M53" s="12"/>
      <c r="N53" s="12"/>
      <c r="O53" s="56">
        <f>F53*($O$46/100)</f>
        <v>297.2423280423281</v>
      </c>
      <c r="P53" s="36">
        <f>L53-O53</f>
        <v>133.75904761904764</v>
      </c>
      <c r="Q53" s="13"/>
    </row>
    <row r="54" spans="2:17" x14ac:dyDescent="0.25">
      <c r="B54" s="14" t="str">
        <f>B34</f>
        <v>August</v>
      </c>
      <c r="C54" s="17">
        <f>F34*C$46</f>
        <v>1824.6585185185188</v>
      </c>
      <c r="D54" s="17">
        <f>F34*D$46</f>
        <v>1321.3044444444445</v>
      </c>
      <c r="E54" s="17"/>
      <c r="F54" s="16">
        <f t="shared" si="3"/>
        <v>3145.9629629629635</v>
      </c>
      <c r="G54" s="12"/>
      <c r="H54" s="46">
        <f>($H$46/100)*C54</f>
        <v>456.1646296296297</v>
      </c>
      <c r="I54" s="29">
        <f>D54*$I$46</f>
        <v>0</v>
      </c>
      <c r="J54" s="12"/>
      <c r="K54" s="29">
        <f t="shared" si="4"/>
        <v>0</v>
      </c>
      <c r="L54" s="47">
        <f t="shared" si="2"/>
        <v>456.1646296296297</v>
      </c>
      <c r="M54" s="12"/>
      <c r="N54" s="12"/>
      <c r="O54" s="56">
        <f>F54*($O$46/100)</f>
        <v>314.59629629629637</v>
      </c>
      <c r="P54" s="36">
        <f>L54-O54</f>
        <v>141.56833333333333</v>
      </c>
      <c r="Q54" s="13"/>
    </row>
    <row r="55" spans="2:17" x14ac:dyDescent="0.25">
      <c r="B55" s="14" t="str">
        <f>B35</f>
        <v>September</v>
      </c>
      <c r="C55" s="17">
        <f>F35*C$46</f>
        <v>1744.6522751322755</v>
      </c>
      <c r="D55" s="17">
        <f>F35*D$46</f>
        <v>1263.3688888888889</v>
      </c>
      <c r="E55" s="17"/>
      <c r="F55" s="16">
        <f t="shared" si="3"/>
        <v>3008.0211640211646</v>
      </c>
      <c r="G55" s="12"/>
      <c r="H55" s="46">
        <f>($H$46/100)*C55</f>
        <v>436.16306878306887</v>
      </c>
      <c r="I55" s="29">
        <f>D55*$I$46</f>
        <v>0</v>
      </c>
      <c r="J55" s="12"/>
      <c r="K55" s="29">
        <f t="shared" si="4"/>
        <v>0</v>
      </c>
      <c r="L55" s="47">
        <f t="shared" si="2"/>
        <v>436.16306878306887</v>
      </c>
      <c r="M55" s="12"/>
      <c r="N55" s="12"/>
      <c r="O55" s="56">
        <f>F55*($O$46/100)</f>
        <v>300.8021164021165</v>
      </c>
      <c r="P55" s="36">
        <f>L55-O55</f>
        <v>135.36095238095237</v>
      </c>
      <c r="Q55" s="13"/>
    </row>
    <row r="56" spans="2:17" x14ac:dyDescent="0.25">
      <c r="B56" s="14" t="str">
        <f>B36</f>
        <v>October</v>
      </c>
      <c r="C56" s="17">
        <f>F36*C$46</f>
        <v>1362.6869841269843</v>
      </c>
      <c r="D56" s="17">
        <f>F36*D$46</f>
        <v>986.77333333333331</v>
      </c>
      <c r="E56" s="17"/>
      <c r="F56" s="16">
        <f t="shared" si="3"/>
        <v>2349.4603174603176</v>
      </c>
      <c r="G56" s="12"/>
      <c r="H56" s="46">
        <f>($H$46/100)*C56</f>
        <v>340.67174603174607</v>
      </c>
      <c r="I56" s="29">
        <f>D56*$I$46</f>
        <v>0</v>
      </c>
      <c r="J56" s="12"/>
      <c r="K56" s="29">
        <f t="shared" si="4"/>
        <v>0</v>
      </c>
      <c r="L56" s="47">
        <f t="shared" si="2"/>
        <v>340.67174603174607</v>
      </c>
      <c r="M56" s="12"/>
      <c r="N56" s="12"/>
      <c r="O56" s="56">
        <f>F56*($O$46/100)</f>
        <v>234.94603174603176</v>
      </c>
      <c r="P56" s="36">
        <f>L56-O56</f>
        <v>105.7257142857143</v>
      </c>
      <c r="Q56" s="13"/>
    </row>
    <row r="57" spans="2:17" x14ac:dyDescent="0.25">
      <c r="B57" s="14" t="str">
        <f>B37</f>
        <v>November</v>
      </c>
      <c r="C57" s="17">
        <f>F37*C$46</f>
        <v>975.56000000000017</v>
      </c>
      <c r="D57" s="17">
        <f>F37*D$46</f>
        <v>706.43999999999994</v>
      </c>
      <c r="E57" s="17"/>
      <c r="F57" s="16">
        <f t="shared" si="3"/>
        <v>1682</v>
      </c>
      <c r="G57" s="12"/>
      <c r="H57" s="46">
        <f>($H$46/100)*C57</f>
        <v>243.89000000000004</v>
      </c>
      <c r="I57" s="29">
        <f>D57*$I$46</f>
        <v>0</v>
      </c>
      <c r="J57" s="12"/>
      <c r="K57" s="29">
        <f t="shared" si="4"/>
        <v>0</v>
      </c>
      <c r="L57" s="47">
        <f t="shared" si="2"/>
        <v>243.89000000000004</v>
      </c>
      <c r="M57" s="12"/>
      <c r="N57" s="12"/>
      <c r="O57" s="56">
        <f>F57*($O$46/100)</f>
        <v>168.20000000000002</v>
      </c>
      <c r="P57" s="36">
        <f>L57-O57</f>
        <v>75.690000000000026</v>
      </c>
      <c r="Q57" s="13"/>
    </row>
    <row r="58" spans="2:17" x14ac:dyDescent="0.25">
      <c r="B58" s="14" t="str">
        <f>B38</f>
        <v>December</v>
      </c>
      <c r="C58" s="17">
        <f>F38*C$46</f>
        <v>1040.0811640211641</v>
      </c>
      <c r="D58" s="17">
        <f>F38*D$46</f>
        <v>753.16222222222223</v>
      </c>
      <c r="E58" s="17"/>
      <c r="F58" s="16">
        <f t="shared" si="3"/>
        <v>1793.2433862433863</v>
      </c>
      <c r="G58" s="12"/>
      <c r="H58" s="46">
        <f>($H$46/100)*C58</f>
        <v>260.02029100529103</v>
      </c>
      <c r="I58" s="29">
        <f>D58*$I$46</f>
        <v>0</v>
      </c>
      <c r="J58" s="12"/>
      <c r="K58" s="29">
        <f t="shared" si="4"/>
        <v>0</v>
      </c>
      <c r="L58" s="47">
        <f>SUM(H58:K58)</f>
        <v>260.02029100529103</v>
      </c>
      <c r="M58" s="12"/>
      <c r="N58" s="12"/>
      <c r="O58" s="56">
        <f>F58*($O$46/100)</f>
        <v>179.32433862433865</v>
      </c>
      <c r="P58" s="36">
        <f>L58-O58</f>
        <v>80.695952380952377</v>
      </c>
      <c r="Q58" s="13"/>
    </row>
    <row r="59" spans="2:17" x14ac:dyDescent="0.25">
      <c r="B59" s="14"/>
      <c r="C59" s="12"/>
      <c r="D59" s="12"/>
      <c r="E59" s="12"/>
      <c r="F59" s="6"/>
      <c r="G59" s="12"/>
      <c r="H59" s="48"/>
      <c r="I59" s="12"/>
      <c r="J59" s="12"/>
      <c r="K59" s="12"/>
      <c r="L59" s="45"/>
      <c r="M59" s="12"/>
      <c r="N59" s="12"/>
      <c r="O59" s="57"/>
      <c r="P59" s="12"/>
      <c r="Q59" s="13"/>
    </row>
    <row r="60" spans="2:17" x14ac:dyDescent="0.25">
      <c r="B60" s="11" t="str">
        <f>B40</f>
        <v>Total</v>
      </c>
      <c r="C60" s="16">
        <f>SUM(C47:C59)</f>
        <v>15485.079365079368</v>
      </c>
      <c r="D60" s="16">
        <f>SUM(D47:D59)</f>
        <v>11213.333333333332</v>
      </c>
      <c r="E60" s="16"/>
      <c r="F60" s="16">
        <f>SUM(F47:F59)</f>
        <v>26698.4126984127</v>
      </c>
      <c r="G60" s="12"/>
      <c r="H60" s="49">
        <f>SUM(H47:H58)</f>
        <v>3871.2698412698419</v>
      </c>
      <c r="I60" s="30">
        <f>SUM(I47:I58)</f>
        <v>0</v>
      </c>
      <c r="J60" s="12"/>
      <c r="K60" s="30">
        <f>SUM(K47:K58)</f>
        <v>0</v>
      </c>
      <c r="L60" s="50">
        <f>SUM(H60:K60)</f>
        <v>3871.2698412698419</v>
      </c>
      <c r="M60" s="12"/>
      <c r="N60" s="12"/>
      <c r="O60" s="58">
        <f>SUM(O47:O58)</f>
        <v>2669.8412698412699</v>
      </c>
      <c r="P60" s="36">
        <f>SUM(P47:P58)</f>
        <v>1201.4285714285716</v>
      </c>
      <c r="Q60" s="13"/>
    </row>
    <row r="61" spans="2:17" x14ac:dyDescent="0.25">
      <c r="B61" s="14"/>
      <c r="C61" s="12"/>
      <c r="D61" s="12"/>
      <c r="E61" s="12"/>
      <c r="F61" s="12"/>
      <c r="G61" s="12"/>
      <c r="H61" s="51"/>
      <c r="I61" s="52"/>
      <c r="J61" s="52"/>
      <c r="K61" s="52"/>
      <c r="L61" s="59">
        <f>(L60/F60)*100</f>
        <v>14.500000000000002</v>
      </c>
      <c r="M61" s="60" t="s">
        <v>25</v>
      </c>
      <c r="N61" s="61"/>
      <c r="O61" s="62">
        <f>(O60/F60)*100</f>
        <v>10</v>
      </c>
      <c r="P61" s="12"/>
      <c r="Q61" s="13"/>
    </row>
    <row r="62" spans="2:17" ht="15.75" thickBot="1" x14ac:dyDescent="0.3"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/>
    </row>
    <row r="63" spans="2:17" x14ac:dyDescent="0.25"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31"/>
      <c r="M63" s="4">
        <f>L60-O60</f>
        <v>1201.428571428572</v>
      </c>
      <c r="N63" s="2" t="s">
        <v>26</v>
      </c>
      <c r="O63" s="12"/>
      <c r="P63" s="12"/>
      <c r="Q63" s="13"/>
    </row>
    <row r="64" spans="2:17" ht="15.75" thickBot="1" x14ac:dyDescent="0.3"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5">
        <f>M63/L60</f>
        <v>0.31034482758620702</v>
      </c>
      <c r="N64" s="3" t="s">
        <v>26</v>
      </c>
      <c r="O64" s="12"/>
      <c r="P64" s="12"/>
      <c r="Q64" s="13"/>
    </row>
    <row r="65" spans="2:17" ht="15.75" thickBot="1" x14ac:dyDescent="0.3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4"/>
    </row>
  </sheetData>
  <phoneticPr fontId="5" type="noConversion"/>
  <dataValidations count="1">
    <dataValidation type="list" allowBlank="1" showInputMessage="1" showErrorMessage="1" sqref="C24" xr:uid="{B83922F2-D849-416D-A7BD-072173B06053}">
      <formula1>$B$27:$B$38</formula1>
    </dataValidation>
  </dataValidations>
  <hyperlinks>
    <hyperlink ref="B2" r:id="rId1" xr:uid="{8EB9963E-5E2D-4E77-A65E-81B40FF41A1B}"/>
  </hyperlinks>
  <pageMargins left="0.7" right="0.7" top="0.75" bottom="0.75" header="0.3" footer="0.3"/>
  <ignoredErrors>
    <ignoredError sqref="C19:F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1CCF-2701-494E-BEA0-5FAFA0C9C33A}">
  <dimension ref="A1"/>
  <sheetViews>
    <sheetView topLeftCell="G31" zoomScale="130" zoomScaleNormal="130" workbookViewId="0">
      <selection activeCell="AC12" sqref="AC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Gormley</dc:creator>
  <cp:lastModifiedBy>Drew Gormley</cp:lastModifiedBy>
  <dcterms:created xsi:type="dcterms:W3CDTF">2023-11-20T16:22:51Z</dcterms:created>
  <dcterms:modified xsi:type="dcterms:W3CDTF">2023-11-20T20:20:26Z</dcterms:modified>
</cp:coreProperties>
</file>